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4820"/>
  </bookViews>
  <sheets>
    <sheet name="temp" sheetId="1" r:id="rId1"/>
  </sheets>
  <calcPr calcId="145621"/>
</workbook>
</file>

<file path=xl/calcChain.xml><?xml version="1.0" encoding="utf-8"?>
<calcChain xmlns="http://schemas.openxmlformats.org/spreadsheetml/2006/main">
  <c r="B8" i="1" l="1"/>
  <c r="E14" i="1"/>
  <c r="E15" i="1" s="1"/>
  <c r="I31" i="1"/>
  <c r="I30" i="1"/>
  <c r="I29" i="1"/>
  <c r="I28" i="1"/>
  <c r="I27" i="1"/>
  <c r="C4" i="1"/>
  <c r="C19" i="1" s="1"/>
  <c r="G38" i="1"/>
  <c r="G37" i="1"/>
  <c r="G36" i="1"/>
  <c r="G35" i="1"/>
  <c r="G34" i="1"/>
  <c r="G33" i="1"/>
  <c r="G32" i="1"/>
  <c r="G31" i="1"/>
  <c r="G30" i="1"/>
  <c r="G29" i="1"/>
  <c r="G28" i="1"/>
  <c r="G27" i="1"/>
  <c r="E38" i="1"/>
  <c r="E37" i="1"/>
  <c r="E36" i="1"/>
  <c r="E35" i="1"/>
  <c r="E34" i="1"/>
  <c r="E33" i="1"/>
  <c r="E32" i="1"/>
  <c r="E31" i="1"/>
  <c r="E30" i="1"/>
  <c r="E29" i="1"/>
  <c r="E28" i="1"/>
  <c r="E27" i="1"/>
  <c r="D10" i="1"/>
  <c r="C5" i="1" l="1"/>
  <c r="C20" i="1" l="1"/>
  <c r="D20" i="1" s="1"/>
  <c r="C21" i="1" s="1"/>
  <c r="D21" i="1" s="1"/>
  <c r="C6" i="1"/>
  <c r="C7" i="1" s="1"/>
  <c r="D7" i="1" s="1"/>
  <c r="C11" i="1"/>
  <c r="D11" i="1" l="1"/>
  <c r="D15" i="1" s="1"/>
  <c r="D16" i="1" s="1"/>
  <c r="C15" i="1"/>
  <c r="C16" i="1" s="1"/>
  <c r="C12" i="1"/>
  <c r="D12" i="1" l="1"/>
  <c r="C14" i="1"/>
  <c r="D14" i="1" s="1"/>
  <c r="C18" i="1" s="1"/>
  <c r="D19" i="1" l="1"/>
  <c r="C17" i="1"/>
  <c r="F20" i="1" l="1"/>
  <c r="H21" i="1" s="1"/>
  <c r="J21" i="1" s="1"/>
  <c r="F22" i="1"/>
  <c r="H23" i="1" s="1"/>
  <c r="J23" i="1" s="1"/>
  <c r="A22" i="1"/>
</calcChain>
</file>

<file path=xl/sharedStrings.xml><?xml version="1.0" encoding="utf-8"?>
<sst xmlns="http://schemas.openxmlformats.org/spreadsheetml/2006/main" count="71" uniqueCount="63">
  <si>
    <t>mm</t>
  </si>
  <si>
    <t>Length</t>
  </si>
  <si>
    <t>In</t>
  </si>
  <si>
    <t>MM</t>
  </si>
  <si>
    <t>Diameter In</t>
  </si>
  <si>
    <t>Diameter mm</t>
  </si>
  <si>
    <t>mm2</t>
  </si>
  <si>
    <t>Ohms/Meter</t>
  </si>
  <si>
    <t>Needle Gauge</t>
  </si>
  <si>
    <t>Wire Gauge</t>
  </si>
  <si>
    <t>Coil forms</t>
  </si>
  <si>
    <t>Volts to produce</t>
  </si>
  <si>
    <t>Enter Data</t>
  </si>
  <si>
    <t>Results</t>
  </si>
  <si>
    <t>Do not change</t>
  </si>
  <si>
    <t>Reference</t>
  </si>
  <si>
    <t>area</t>
  </si>
  <si>
    <t>amps</t>
  </si>
  <si>
    <t>Coil width     spacing X dia</t>
  </si>
  <si>
    <t>Gauge</t>
  </si>
  <si>
    <t>Kanthal A1 Coil Calculator</t>
  </si>
  <si>
    <t>Cross section area</t>
  </si>
  <si>
    <t xml:space="preserve">watts at </t>
  </si>
  <si>
    <t>Bat size mah</t>
  </si>
  <si>
    <t>Vape time hr:min</t>
  </si>
  <si>
    <t>Inch</t>
  </si>
  <si>
    <t>Fractional coil width</t>
  </si>
  <si>
    <t>Millimeters</t>
  </si>
  <si>
    <t>1/16</t>
  </si>
  <si>
    <t>5/64</t>
  </si>
  <si>
    <t>3/32</t>
  </si>
  <si>
    <t>7'64</t>
  </si>
  <si>
    <t>1/8</t>
  </si>
  <si>
    <t>LOG</t>
  </si>
  <si>
    <t>Drill Bit</t>
  </si>
  <si>
    <t>Size</t>
  </si>
  <si>
    <t>Enter AWG of Kanthal A-1 wire</t>
  </si>
  <si>
    <t>Enter number of coil turns</t>
  </si>
  <si>
    <t>Enter lowest ohms mod can handle</t>
  </si>
  <si>
    <t>total length with leads, fractional inches</t>
  </si>
  <si>
    <t>Enter desired watts</t>
  </si>
  <si>
    <t>Enter battery voltage</t>
  </si>
  <si>
    <t>Log</t>
  </si>
  <si>
    <t>Inches</t>
  </si>
  <si>
    <t>Inches to mm conversion</t>
  </si>
  <si>
    <t>Key-&gt;</t>
  </si>
  <si>
    <t>Wire type</t>
  </si>
  <si>
    <t>Ohms per mm2</t>
  </si>
  <si>
    <t>Ohms mm2</t>
  </si>
  <si>
    <t>Wire table</t>
  </si>
  <si>
    <t>Kanthal A1</t>
  </si>
  <si>
    <t>Kanthal AF</t>
  </si>
  <si>
    <t>Kanthal D</t>
  </si>
  <si>
    <t>Nichrome 80/20</t>
  </si>
  <si>
    <t>Nichrome 70/30</t>
  </si>
  <si>
    <t>Nichrome 60/40</t>
  </si>
  <si>
    <t>Nichrome 40/60</t>
  </si>
  <si>
    <t>OHMS</t>
  </si>
  <si>
    <t>lead length inches</t>
  </si>
  <si>
    <t>Diameter of form in mm:</t>
  </si>
  <si>
    <t>total length with leads, inches</t>
  </si>
  <si>
    <t>Total lead length, mm</t>
  </si>
  <si>
    <t>pjmarkert 2013,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</si>
</sst>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"/>
    <numFmt numFmtId="165" formatCode="#\ ??/32"/>
    <numFmt numFmtId="166" formatCode="0.0000"/>
    <numFmt numFmtId="167" formatCode="0.000000"/>
    <numFmt numFmtId="168" formatCode="#\-??/32"/>
    <numFmt numFmtId="169" formatCode="0.0"/>
    <numFmt numFmtId="170" formatCode="[h]:mm:ss;@"/>
    <numFmt numFmtId="171" formatCode="h:mm;@"/>
    <numFmt numFmtId="172" formatCode="#\ ??/16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7D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4FEC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2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28" borderId="20" applyNumberFormat="0" applyAlignment="0" applyProtection="0"/>
    <xf numFmtId="0" fontId="5" fillId="29" borderId="21" applyNumberFormat="0" applyAlignment="0" applyProtection="0"/>
    <xf numFmtId="0" fontId="6" fillId="0" borderId="0" applyNumberFormat="0" applyFill="0" applyBorder="0" applyAlignment="0" applyProtection="0"/>
    <xf numFmtId="0" fontId="7" fillId="30" borderId="0" applyNumberFormat="0" applyBorder="0" applyAlignment="0" applyProtection="0"/>
    <xf numFmtId="0" fontId="8" fillId="0" borderId="22" applyNumberFormat="0" applyFill="0" applyAlignment="0" applyProtection="0"/>
    <xf numFmtId="0" fontId="9" fillId="0" borderId="23" applyNumberFormat="0" applyFill="0" applyAlignment="0" applyProtection="0"/>
    <xf numFmtId="0" fontId="10" fillId="0" borderId="24" applyNumberFormat="0" applyFill="0" applyAlignment="0" applyProtection="0"/>
    <xf numFmtId="0" fontId="10" fillId="0" borderId="0" applyNumberFormat="0" applyFill="0" applyBorder="0" applyAlignment="0" applyProtection="0"/>
    <xf numFmtId="0" fontId="11" fillId="31" borderId="20" applyNumberFormat="0" applyAlignment="0" applyProtection="0"/>
    <xf numFmtId="0" fontId="12" fillId="0" borderId="25" applyNumberFormat="0" applyFill="0" applyAlignment="0" applyProtection="0"/>
    <xf numFmtId="0" fontId="13" fillId="32" borderId="0" applyNumberFormat="0" applyBorder="0" applyAlignment="0" applyProtection="0"/>
    <xf numFmtId="0" fontId="1" fillId="33" borderId="26" applyNumberFormat="0" applyFont="0" applyAlignment="0" applyProtection="0"/>
    <xf numFmtId="0" fontId="14" fillId="28" borderId="27" applyNumberFormat="0" applyAlignment="0" applyProtection="0"/>
    <xf numFmtId="0" fontId="15" fillId="0" borderId="0" applyNumberFormat="0" applyFill="0" applyBorder="0" applyAlignment="0" applyProtection="0"/>
    <xf numFmtId="0" fontId="16" fillId="0" borderId="28" applyNumberFormat="0" applyFill="0" applyAlignment="0" applyProtection="0"/>
    <xf numFmtId="0" fontId="17" fillId="0" borderId="0" applyNumberFormat="0" applyFill="0" applyBorder="0" applyAlignment="0" applyProtection="0"/>
  </cellStyleXfs>
  <cellXfs count="94">
    <xf numFmtId="0" fontId="0" fillId="2" borderId="0" xfId="0"/>
    <xf numFmtId="0" fontId="0" fillId="2" borderId="0" xfId="0" applyAlignment="1">
      <alignment horizontal="right"/>
    </xf>
    <xf numFmtId="0" fontId="17" fillId="2" borderId="0" xfId="0" applyFont="1"/>
    <xf numFmtId="0" fontId="3" fillId="27" borderId="1" xfId="25" applyBorder="1"/>
    <xf numFmtId="0" fontId="0" fillId="2" borderId="1" xfId="0" applyBorder="1"/>
    <xf numFmtId="0" fontId="7" fillId="30" borderId="1" xfId="29" applyBorder="1"/>
    <xf numFmtId="0" fontId="0" fillId="34" borderId="1" xfId="0" applyFill="1" applyBorder="1" applyProtection="1">
      <protection locked="0"/>
    </xf>
    <xf numFmtId="0" fontId="16" fillId="2" borderId="0" xfId="0" applyFont="1"/>
    <xf numFmtId="0" fontId="7" fillId="2" borderId="0" xfId="29" applyFill="1"/>
    <xf numFmtId="0" fontId="13" fillId="34" borderId="1" xfId="36" applyFill="1" applyBorder="1" applyProtection="1">
      <protection locked="0"/>
    </xf>
    <xf numFmtId="164" fontId="13" fillId="34" borderId="1" xfId="36" applyNumberFormat="1" applyFill="1" applyBorder="1" applyProtection="1">
      <protection locked="0"/>
    </xf>
    <xf numFmtId="0" fontId="13" fillId="34" borderId="1" xfId="36" applyNumberFormat="1" applyFill="1" applyBorder="1" applyProtection="1">
      <protection locked="0"/>
    </xf>
    <xf numFmtId="0" fontId="13" fillId="34" borderId="1" xfId="36" applyFill="1" applyBorder="1"/>
    <xf numFmtId="166" fontId="0" fillId="2" borderId="0" xfId="0" applyNumberFormat="1" applyBorder="1"/>
    <xf numFmtId="0" fontId="13" fillId="34" borderId="1" xfId="0" applyFont="1" applyFill="1" applyBorder="1" applyProtection="1">
      <protection locked="0"/>
    </xf>
    <xf numFmtId="2" fontId="3" fillId="27" borderId="1" xfId="25" applyNumberFormat="1" applyBorder="1" applyProtection="1"/>
    <xf numFmtId="2" fontId="18" fillId="35" borderId="1" xfId="0" applyNumberFormat="1" applyFont="1" applyFill="1" applyBorder="1" applyProtection="1"/>
    <xf numFmtId="171" fontId="18" fillId="35" borderId="2" xfId="0" applyNumberFormat="1" applyFont="1" applyFill="1" applyBorder="1" applyProtection="1"/>
    <xf numFmtId="172" fontId="18" fillId="35" borderId="1" xfId="0" applyNumberFormat="1" applyFont="1" applyFill="1" applyBorder="1" applyProtection="1"/>
    <xf numFmtId="169" fontId="18" fillId="35" borderId="1" xfId="0" applyNumberFormat="1" applyFont="1" applyFill="1" applyBorder="1" applyProtection="1"/>
    <xf numFmtId="168" fontId="18" fillId="35" borderId="1" xfId="0" applyNumberFormat="1" applyFont="1" applyFill="1" applyBorder="1" applyProtection="1"/>
    <xf numFmtId="0" fontId="19" fillId="36" borderId="3" xfId="0" applyFont="1" applyFill="1" applyBorder="1" applyAlignment="1">
      <alignment horizontal="right"/>
    </xf>
    <xf numFmtId="0" fontId="16" fillId="2" borderId="0" xfId="0" applyFont="1" applyAlignment="1">
      <alignment horizontal="left"/>
    </xf>
    <xf numFmtId="0" fontId="0" fillId="37" borderId="1" xfId="0" applyFill="1" applyBorder="1" applyAlignment="1" applyProtection="1">
      <alignment horizontal="left" vertical="top" wrapText="1"/>
      <protection locked="0"/>
    </xf>
    <xf numFmtId="0" fontId="0" fillId="37" borderId="4" xfId="0" applyFill="1" applyBorder="1" applyAlignment="1" applyProtection="1">
      <alignment horizontal="left" vertical="top"/>
      <protection locked="0"/>
    </xf>
    <xf numFmtId="0" fontId="0" fillId="37" borderId="1" xfId="0" applyFill="1" applyBorder="1" applyAlignment="1" applyProtection="1">
      <alignment horizontal="left" vertical="top"/>
      <protection locked="0"/>
    </xf>
    <xf numFmtId="2" fontId="18" fillId="38" borderId="0" xfId="0" applyNumberFormat="1" applyFont="1" applyFill="1" applyBorder="1" applyProtection="1"/>
    <xf numFmtId="0" fontId="0" fillId="38" borderId="0" xfId="0" applyFill="1"/>
    <xf numFmtId="171" fontId="18" fillId="38" borderId="0" xfId="0" applyNumberFormat="1" applyFont="1" applyFill="1" applyBorder="1" applyProtection="1"/>
    <xf numFmtId="166" fontId="20" fillId="36" borderId="2" xfId="0" applyNumberFormat="1" applyFont="1" applyFill="1" applyBorder="1"/>
    <xf numFmtId="166" fontId="20" fillId="36" borderId="1" xfId="0" applyNumberFormat="1" applyFont="1" applyFill="1" applyBorder="1"/>
    <xf numFmtId="0" fontId="19" fillId="36" borderId="7" xfId="0" applyFont="1" applyFill="1" applyBorder="1" applyAlignment="1">
      <alignment horizontal="center"/>
    </xf>
    <xf numFmtId="16" fontId="20" fillId="36" borderId="8" xfId="0" quotePrefix="1" applyNumberFormat="1" applyFont="1" applyFill="1" applyBorder="1" applyAlignment="1">
      <alignment horizontal="center"/>
    </xf>
    <xf numFmtId="0" fontId="20" fillId="36" borderId="6" xfId="0" quotePrefix="1" applyFont="1" applyFill="1" applyBorder="1" applyAlignment="1">
      <alignment horizontal="center"/>
    </xf>
    <xf numFmtId="0" fontId="21" fillId="34" borderId="1" xfId="36" applyFont="1" applyFill="1" applyBorder="1" applyProtection="1">
      <protection locked="0"/>
    </xf>
    <xf numFmtId="0" fontId="16" fillId="2" borderId="0" xfId="0" applyFont="1" applyAlignment="1" applyProtection="1">
      <alignment horizontal="left"/>
      <protection locked="0"/>
    </xf>
    <xf numFmtId="0" fontId="0" fillId="2" borderId="0" xfId="0" applyAlignment="1" applyProtection="1">
      <alignment horizontal="right"/>
      <protection locked="0"/>
    </xf>
    <xf numFmtId="0" fontId="0" fillId="37" borderId="1" xfId="0" applyFill="1" applyBorder="1"/>
    <xf numFmtId="0" fontId="20" fillId="2" borderId="0" xfId="0" applyFont="1"/>
    <xf numFmtId="0" fontId="20" fillId="30" borderId="4" xfId="29" applyFont="1" applyBorder="1" applyAlignment="1">
      <alignment horizontal="center"/>
    </xf>
    <xf numFmtId="0" fontId="20" fillId="30" borderId="9" xfId="29" applyFont="1" applyBorder="1" applyAlignment="1">
      <alignment horizontal="center"/>
    </xf>
    <xf numFmtId="0" fontId="20" fillId="30" borderId="10" xfId="29" applyFont="1" applyBorder="1" applyAlignment="1">
      <alignment horizontal="right"/>
    </xf>
    <xf numFmtId="0" fontId="20" fillId="30" borderId="11" xfId="29" applyFont="1" applyBorder="1" applyAlignment="1">
      <alignment horizontal="right"/>
    </xf>
    <xf numFmtId="0" fontId="20" fillId="30" borderId="12" xfId="29" applyFont="1" applyBorder="1" applyAlignment="1">
      <alignment horizontal="center"/>
    </xf>
    <xf numFmtId="164" fontId="20" fillId="30" borderId="13" xfId="29" applyNumberFormat="1" applyFont="1" applyBorder="1"/>
    <xf numFmtId="164" fontId="20" fillId="30" borderId="14" xfId="29" applyNumberFormat="1" applyFont="1" applyBorder="1"/>
    <xf numFmtId="164" fontId="20" fillId="30" borderId="15" xfId="29" applyNumberFormat="1" applyFont="1" applyBorder="1"/>
    <xf numFmtId="164" fontId="20" fillId="30" borderId="16" xfId="29" applyNumberFormat="1" applyFont="1" applyBorder="1"/>
    <xf numFmtId="0" fontId="20" fillId="39" borderId="1" xfId="0" applyFont="1" applyFill="1" applyBorder="1"/>
    <xf numFmtId="166" fontId="20" fillId="40" borderId="1" xfId="0" applyNumberFormat="1" applyFont="1" applyFill="1" applyBorder="1" applyProtection="1">
      <protection locked="0"/>
    </xf>
    <xf numFmtId="166" fontId="0" fillId="40" borderId="1" xfId="0" applyNumberFormat="1" applyFill="1" applyBorder="1" applyProtection="1">
      <protection locked="0"/>
    </xf>
    <xf numFmtId="164" fontId="22" fillId="27" borderId="1" xfId="25" applyNumberFormat="1" applyFont="1" applyBorder="1" applyProtection="1"/>
    <xf numFmtId="165" fontId="23" fillId="41" borderId="1" xfId="0" applyNumberFormat="1" applyFont="1" applyFill="1" applyBorder="1" applyAlignment="1" applyProtection="1">
      <alignment horizontal="right"/>
    </xf>
    <xf numFmtId="164" fontId="24" fillId="38" borderId="18" xfId="0" applyNumberFormat="1" applyFont="1" applyFill="1" applyBorder="1"/>
    <xf numFmtId="164" fontId="25" fillId="42" borderId="19" xfId="0" applyNumberFormat="1" applyFont="1" applyFill="1" applyBorder="1" applyAlignment="1">
      <alignment horizontal="center"/>
    </xf>
    <xf numFmtId="164" fontId="26" fillId="2" borderId="0" xfId="0" applyNumberFormat="1" applyFont="1" applyBorder="1" applyAlignment="1" applyProtection="1">
      <alignment horizontal="center"/>
    </xf>
    <xf numFmtId="0" fontId="27" fillId="2" borderId="0" xfId="0" applyFont="1"/>
    <xf numFmtId="0" fontId="27" fillId="2" borderId="0" xfId="0" applyFont="1" applyBorder="1" applyAlignment="1">
      <alignment horizontal="right"/>
    </xf>
    <xf numFmtId="0" fontId="27" fillId="2" borderId="0" xfId="0" applyFont="1" applyBorder="1"/>
    <xf numFmtId="164" fontId="27" fillId="2" borderId="0" xfId="0" applyNumberFormat="1" applyFont="1" applyBorder="1" applyProtection="1"/>
    <xf numFmtId="164" fontId="27" fillId="2" borderId="0" xfId="0" applyNumberFormat="1" applyFont="1" applyBorder="1"/>
    <xf numFmtId="166" fontId="27" fillId="2" borderId="0" xfId="0" applyNumberFormat="1" applyFont="1" applyBorder="1" applyProtection="1"/>
    <xf numFmtId="167" fontId="27" fillId="2" borderId="0" xfId="0" applyNumberFormat="1" applyFont="1" applyBorder="1" applyProtection="1"/>
    <xf numFmtId="0" fontId="27" fillId="2" borderId="0" xfId="0" applyFont="1" applyBorder="1" applyProtection="1"/>
    <xf numFmtId="0" fontId="28" fillId="2" borderId="0" xfId="0" applyFont="1" applyBorder="1" applyProtection="1"/>
    <xf numFmtId="0" fontId="0" fillId="34" borderId="17" xfId="0" applyFill="1" applyBorder="1" applyProtection="1">
      <protection locked="0"/>
    </xf>
    <xf numFmtId="2" fontId="3" fillId="27" borderId="2" xfId="25" applyNumberFormat="1" applyBorder="1" applyProtection="1"/>
    <xf numFmtId="0" fontId="29" fillId="2" borderId="5" xfId="0" applyFont="1" applyBorder="1"/>
    <xf numFmtId="0" fontId="0" fillId="2" borderId="5" xfId="0" applyBorder="1"/>
    <xf numFmtId="0" fontId="0" fillId="2" borderId="6" xfId="0" applyBorder="1"/>
    <xf numFmtId="0" fontId="0" fillId="2" borderId="4" xfId="0" applyBorder="1"/>
    <xf numFmtId="170" fontId="18" fillId="2" borderId="6" xfId="0" applyNumberFormat="1" applyFont="1" applyFill="1" applyBorder="1"/>
    <xf numFmtId="164" fontId="28" fillId="38" borderId="4" xfId="25" applyNumberFormat="1" applyFont="1" applyFill="1" applyBorder="1" applyProtection="1"/>
    <xf numFmtId="164" fontId="27" fillId="38" borderId="5" xfId="25" applyNumberFormat="1" applyFont="1" applyFill="1" applyBorder="1" applyProtection="1"/>
    <xf numFmtId="164" fontId="22" fillId="27" borderId="1" xfId="25" applyNumberFormat="1" applyFont="1" applyBorder="1" applyAlignment="1" applyProtection="1">
      <alignment horizontal="right"/>
    </xf>
    <xf numFmtId="0" fontId="0" fillId="37" borderId="4" xfId="0" applyFill="1" applyBorder="1" applyAlignment="1" applyProtection="1">
      <alignment horizontal="left" vertical="top" wrapText="1"/>
      <protection locked="0"/>
    </xf>
    <xf numFmtId="0" fontId="20" fillId="30" borderId="15" xfId="29" applyFont="1" applyBorder="1" applyAlignment="1">
      <alignment horizontal="center" vertical="center"/>
    </xf>
    <xf numFmtId="0" fontId="20" fillId="30" borderId="16" xfId="29" applyFont="1" applyBorder="1" applyAlignment="1">
      <alignment horizontal="center" vertical="center"/>
    </xf>
    <xf numFmtId="0" fontId="0" fillId="37" borderId="4" xfId="0" applyFill="1" applyBorder="1" applyAlignment="1" applyProtection="1">
      <alignment horizontal="left" vertical="top" wrapText="1"/>
      <protection locked="0"/>
    </xf>
    <xf numFmtId="0" fontId="0" fillId="2" borderId="5" xfId="0" applyBorder="1" applyAlignment="1" applyProtection="1">
      <alignment horizontal="left" vertical="top" wrapText="1"/>
      <protection locked="0"/>
    </xf>
    <xf numFmtId="0" fontId="0" fillId="2" borderId="6" xfId="0" applyBorder="1" applyAlignment="1" applyProtection="1">
      <alignment horizontal="left" vertical="top" wrapText="1"/>
      <protection locked="0"/>
    </xf>
    <xf numFmtId="0" fontId="13" fillId="39" borderId="4" xfId="0" applyFont="1" applyFill="1" applyBorder="1" applyAlignment="1">
      <alignment horizontal="center" vertical="center"/>
    </xf>
    <xf numFmtId="0" fontId="13" fillId="2" borderId="6" xfId="0" applyFont="1" applyBorder="1" applyAlignment="1">
      <alignment horizontal="center" vertical="center"/>
    </xf>
    <xf numFmtId="0" fontId="20" fillId="36" borderId="5" xfId="0" applyFont="1" applyFill="1" applyBorder="1" applyAlignment="1">
      <alignment horizontal="center" vertical="center"/>
    </xf>
    <xf numFmtId="0" fontId="20" fillId="2" borderId="6" xfId="0" applyFont="1" applyBorder="1" applyAlignment="1">
      <alignment horizontal="center" vertical="center"/>
    </xf>
    <xf numFmtId="0" fontId="21" fillId="34" borderId="0" xfId="36" applyFont="1" applyFill="1" applyBorder="1" applyProtection="1">
      <protection locked="0"/>
    </xf>
    <xf numFmtId="0" fontId="27" fillId="2" borderId="0" xfId="0" applyFont="1" applyAlignment="1">
      <alignment horizontal="right"/>
    </xf>
    <xf numFmtId="0" fontId="30" fillId="2" borderId="0" xfId="0" applyFont="1"/>
    <xf numFmtId="0" fontId="30" fillId="38" borderId="0" xfId="0" applyFont="1" applyFill="1"/>
    <xf numFmtId="0" fontId="0" fillId="38" borderId="0" xfId="0" applyFill="1" applyBorder="1"/>
    <xf numFmtId="0" fontId="27" fillId="38" borderId="0" xfId="0" applyFont="1" applyFill="1" applyBorder="1"/>
    <xf numFmtId="0" fontId="27" fillId="38" borderId="0" xfId="0" applyFont="1" applyFill="1" applyBorder="1" applyAlignment="1">
      <alignment horizontal="center"/>
    </xf>
    <xf numFmtId="0" fontId="27" fillId="2" borderId="0" xfId="0" applyFont="1" applyProtection="1">
      <protection locked="0" hidden="1"/>
    </xf>
    <xf numFmtId="0" fontId="0" fillId="2" borderId="0" xfId="0" applyProtection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">
    <dxf>
      <font>
        <color rgb="FFFF0000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Link="$C$2" fmlaRange="$G$4:$H$10" noThreeD="1" sel="4" val="0"/>
</file>

<file path=xl/ctrlProps/ctrlProp2.xml><?xml version="1.0" encoding="utf-8"?>
<formControlPr xmlns="http://schemas.microsoft.com/office/spreadsheetml/2009/9/main" objectType="Spin" dx="16" fmlaLink="$B$3" max="40" page="10" val="28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0</xdr:col>
      <xdr:colOff>1933575</xdr:colOff>
      <xdr:row>35</xdr:row>
      <xdr:rowOff>76200</xdr:rowOff>
    </xdr:to>
    <xdr:pic>
      <xdr:nvPicPr>
        <xdr:cNvPr id="1065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14850"/>
          <a:ext cx="193357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161925</xdr:rowOff>
        </xdr:from>
        <xdr:to>
          <xdr:col>1</xdr:col>
          <xdr:colOff>1114425</xdr:colOff>
          <xdr:row>1</xdr:row>
          <xdr:rowOff>171450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200024</xdr:rowOff>
        </xdr:from>
        <xdr:to>
          <xdr:col>2</xdr:col>
          <xdr:colOff>219075</xdr:colOff>
          <xdr:row>3</xdr:row>
          <xdr:rowOff>19049</xdr:rowOff>
        </xdr:to>
        <xdr:sp macro="" textlink="">
          <xdr:nvSpPr>
            <xdr:cNvPr id="1070" name="Spinner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4"/>
  <sheetViews>
    <sheetView tabSelected="1" zoomScaleNormal="100" workbookViewId="0">
      <selection activeCell="B13" sqref="B13"/>
    </sheetView>
  </sheetViews>
  <sheetFormatPr defaultRowHeight="15" x14ac:dyDescent="0.25"/>
  <cols>
    <col min="1" max="1" width="31.28515625" customWidth="1"/>
    <col min="2" max="3" width="16.85546875" customWidth="1"/>
    <col min="4" max="4" width="10.7109375" customWidth="1"/>
    <col min="5" max="5" width="13.42578125" customWidth="1"/>
    <col min="6" max="6" width="15.5703125" customWidth="1"/>
    <col min="7" max="7" width="16.140625" customWidth="1"/>
    <col min="8" max="8" width="13.28515625" customWidth="1"/>
    <col min="9" max="11" width="15.140625" customWidth="1"/>
  </cols>
  <sheetData>
    <row r="1" spans="1:10" x14ac:dyDescent="0.25">
      <c r="A1" s="7" t="s">
        <v>20</v>
      </c>
      <c r="B1" s="7"/>
      <c r="C1" s="7" t="s">
        <v>62</v>
      </c>
      <c r="F1" s="87"/>
      <c r="G1" s="56" t="s">
        <v>49</v>
      </c>
      <c r="H1" s="56"/>
    </row>
    <row r="2" spans="1:10" ht="15.75" x14ac:dyDescent="0.25">
      <c r="A2" t="s">
        <v>46</v>
      </c>
      <c r="B2" s="85"/>
      <c r="C2" s="92">
        <v>4</v>
      </c>
      <c r="D2" s="56"/>
      <c r="E2" s="56"/>
      <c r="F2" s="87"/>
      <c r="G2" s="90"/>
      <c r="H2" s="91"/>
    </row>
    <row r="3" spans="1:10" ht="15.75" x14ac:dyDescent="0.25">
      <c r="A3" t="s">
        <v>19</v>
      </c>
      <c r="B3" s="34">
        <v>28</v>
      </c>
      <c r="C3" s="56"/>
      <c r="D3" s="56" t="s">
        <v>36</v>
      </c>
      <c r="E3" s="56"/>
      <c r="F3" s="87"/>
      <c r="G3" s="90" t="s">
        <v>46</v>
      </c>
      <c r="H3" s="91" t="s">
        <v>48</v>
      </c>
    </row>
    <row r="4" spans="1:10" x14ac:dyDescent="0.25">
      <c r="A4" t="s">
        <v>4</v>
      </c>
      <c r="C4" s="61">
        <f>0.005 * 92^((36-B3)/39)</f>
        <v>1.2641490324824547E-2</v>
      </c>
      <c r="D4" s="86" t="s">
        <v>45</v>
      </c>
      <c r="E4" s="12" t="s">
        <v>12</v>
      </c>
      <c r="F4" s="87"/>
      <c r="G4" s="90" t="s">
        <v>50</v>
      </c>
      <c r="H4" s="91">
        <v>1.45</v>
      </c>
    </row>
    <row r="5" spans="1:10" x14ac:dyDescent="0.25">
      <c r="A5" t="s">
        <v>5</v>
      </c>
      <c r="C5" s="62">
        <f>C4*25.4</f>
        <v>0.32109385425054349</v>
      </c>
      <c r="D5" s="58"/>
      <c r="E5" s="3" t="s">
        <v>13</v>
      </c>
      <c r="F5" s="87"/>
      <c r="G5" s="90" t="s">
        <v>51</v>
      </c>
      <c r="H5" s="91">
        <v>1.39</v>
      </c>
    </row>
    <row r="6" spans="1:10" x14ac:dyDescent="0.25">
      <c r="A6" t="s">
        <v>21</v>
      </c>
      <c r="C6" s="63">
        <f>((C5/2)^2)*PI()</f>
        <v>8.0975542790665211E-2</v>
      </c>
      <c r="D6" s="58" t="s">
        <v>6</v>
      </c>
      <c r="E6" s="4" t="s">
        <v>14</v>
      </c>
      <c r="F6" s="87"/>
      <c r="G6" s="90" t="s">
        <v>52</v>
      </c>
      <c r="H6" s="91">
        <v>1.35</v>
      </c>
    </row>
    <row r="7" spans="1:10" x14ac:dyDescent="0.25">
      <c r="A7" t="s">
        <v>7</v>
      </c>
      <c r="C7" s="61">
        <f>B8/C6</f>
        <v>13.460854505388438</v>
      </c>
      <c r="D7" s="63">
        <f>C7*0.0254</f>
        <v>0.3419057044368663</v>
      </c>
      <c r="E7" s="5" t="s">
        <v>15</v>
      </c>
      <c r="F7" s="87"/>
      <c r="G7" s="90" t="s">
        <v>53</v>
      </c>
      <c r="H7" s="91">
        <v>1.0900000000000001</v>
      </c>
    </row>
    <row r="8" spans="1:10" x14ac:dyDescent="0.25">
      <c r="A8" t="s">
        <v>47</v>
      </c>
      <c r="B8" s="93">
        <f>INDEX(H4:H10,C2)</f>
        <v>1.0900000000000001</v>
      </c>
      <c r="C8" s="58"/>
      <c r="D8" s="64"/>
      <c r="E8" s="37" t="s">
        <v>42</v>
      </c>
      <c r="F8" s="87"/>
      <c r="G8" s="90" t="s">
        <v>54</v>
      </c>
      <c r="H8" s="91">
        <v>1.18</v>
      </c>
    </row>
    <row r="9" spans="1:10" x14ac:dyDescent="0.25">
      <c r="C9" s="57" t="s">
        <v>3</v>
      </c>
      <c r="D9" s="57" t="s">
        <v>2</v>
      </c>
      <c r="F9" s="87"/>
      <c r="G9" s="90" t="s">
        <v>55</v>
      </c>
      <c r="H9" s="91">
        <v>1.1100000000000001</v>
      </c>
    </row>
    <row r="10" spans="1:10" x14ac:dyDescent="0.25">
      <c r="A10" t="s">
        <v>59</v>
      </c>
      <c r="B10" s="10">
        <v>1.29</v>
      </c>
      <c r="C10" s="58"/>
      <c r="D10" s="59">
        <f>B10/25.4</f>
        <v>5.0787401574803152E-2</v>
      </c>
      <c r="F10" s="88"/>
      <c r="G10" s="90" t="s">
        <v>56</v>
      </c>
      <c r="H10" s="91">
        <v>1.04</v>
      </c>
    </row>
    <row r="11" spans="1:10" x14ac:dyDescent="0.25">
      <c r="C11" s="59">
        <f>C5</f>
        <v>0.32109385425054349</v>
      </c>
      <c r="D11" s="59">
        <f>C11/25.4</f>
        <v>1.2641490324824547E-2</v>
      </c>
      <c r="G11" s="89"/>
    </row>
    <row r="12" spans="1:10" x14ac:dyDescent="0.25">
      <c r="C12" s="59">
        <f>C11+B10</f>
        <v>1.6110938542505435</v>
      </c>
      <c r="D12" s="59">
        <f>C12/25.4</f>
        <v>6.3428891899627707E-2</v>
      </c>
    </row>
    <row r="13" spans="1:10" x14ac:dyDescent="0.25">
      <c r="A13" t="s">
        <v>37</v>
      </c>
      <c r="B13" s="11">
        <v>7</v>
      </c>
      <c r="C13" s="58"/>
      <c r="D13" s="60"/>
      <c r="E13" s="81" t="s">
        <v>44</v>
      </c>
      <c r="F13" s="82"/>
    </row>
    <row r="14" spans="1:10" x14ac:dyDescent="0.25">
      <c r="A14" t="s">
        <v>1</v>
      </c>
      <c r="C14" s="59">
        <f>PI()*C12*B13</f>
        <v>35.42980431730021</v>
      </c>
      <c r="D14" s="59">
        <f>C14/25.4</f>
        <v>1.3948741857204807</v>
      </c>
      <c r="E14" s="49">
        <f>1/16</f>
        <v>6.25E-2</v>
      </c>
      <c r="F14" s="48" t="s">
        <v>43</v>
      </c>
    </row>
    <row r="15" spans="1:10" x14ac:dyDescent="0.25">
      <c r="A15" t="s">
        <v>16</v>
      </c>
      <c r="C15" s="59">
        <f>(C11/2)^2*PI()</f>
        <v>8.0975542790665211E-2</v>
      </c>
      <c r="D15" s="59">
        <f>D11*1000</f>
        <v>12.641490324824547</v>
      </c>
      <c r="E15" s="48">
        <f>E14*25.4</f>
        <v>1.5874999999999999</v>
      </c>
      <c r="F15" s="48" t="s">
        <v>0</v>
      </c>
      <c r="J15" s="2"/>
    </row>
    <row r="16" spans="1:10" x14ac:dyDescent="0.25">
      <c r="A16" t="s">
        <v>38</v>
      </c>
      <c r="B16" s="6">
        <v>1</v>
      </c>
      <c r="C16" s="59">
        <f>1.45/C15</f>
        <v>17.906641314507553</v>
      </c>
      <c r="D16" s="59">
        <f>872/D15^2</f>
        <v>5.4565725223388553</v>
      </c>
      <c r="G16" s="13"/>
    </row>
    <row r="17" spans="1:11" x14ac:dyDescent="0.25">
      <c r="A17" t="s">
        <v>57</v>
      </c>
      <c r="C17" s="51">
        <f>C18*D7</f>
        <v>0.64786829328799433</v>
      </c>
      <c r="E17" s="55"/>
    </row>
    <row r="18" spans="1:11" x14ac:dyDescent="0.25">
      <c r="A18" t="s">
        <v>58</v>
      </c>
      <c r="B18" s="10">
        <v>0.25</v>
      </c>
      <c r="C18" s="51">
        <f>B18*2+D14</f>
        <v>1.8948741857204807</v>
      </c>
      <c r="D18" t="s">
        <v>60</v>
      </c>
    </row>
    <row r="19" spans="1:11" x14ac:dyDescent="0.25">
      <c r="A19" t="s">
        <v>61</v>
      </c>
      <c r="C19" s="74" t="str">
        <f>ROUND(1/C4,3)&amp;" mm"</f>
        <v>79.105 mm</v>
      </c>
      <c r="D19" s="20">
        <f>C18</f>
        <v>1.8948741857204807</v>
      </c>
      <c r="E19" t="s">
        <v>39</v>
      </c>
      <c r="J19" s="65">
        <v>2200</v>
      </c>
      <c r="K19" t="s">
        <v>23</v>
      </c>
    </row>
    <row r="20" spans="1:11" x14ac:dyDescent="0.25">
      <c r="A20" t="s">
        <v>18</v>
      </c>
      <c r="B20" s="6">
        <v>1</v>
      </c>
      <c r="C20" s="72">
        <f>B13*C5*B20</f>
        <v>2.2476569797538044</v>
      </c>
      <c r="D20" s="73">
        <f>C20/25.4</f>
        <v>8.8490432273771832E-2</v>
      </c>
      <c r="F20" s="15">
        <f>SQRT(C17*H20)</f>
        <v>2.2766085184554576</v>
      </c>
      <c r="G20" s="67" t="s">
        <v>11</v>
      </c>
      <c r="H20" s="9">
        <v>8</v>
      </c>
      <c r="I20" s="68" t="s">
        <v>40</v>
      </c>
      <c r="J20" s="69"/>
    </row>
    <row r="21" spans="1:11" ht="15.75" thickBot="1" x14ac:dyDescent="0.3">
      <c r="A21" s="1" t="s">
        <v>26</v>
      </c>
      <c r="C21" s="52">
        <f>D20</f>
        <v>8.8490432273771832E-2</v>
      </c>
      <c r="D21" s="18">
        <f>C21</f>
        <v>8.8490432273771832E-2</v>
      </c>
      <c r="E21" t="s">
        <v>25</v>
      </c>
      <c r="H21" s="66">
        <f>H20/F20</f>
        <v>3.513998974855598</v>
      </c>
      <c r="I21" s="4" t="s">
        <v>17</v>
      </c>
      <c r="J21" s="17">
        <f>($J$19/(H21*1000))/24</f>
        <v>2.6086139273968786E-2</v>
      </c>
      <c r="K21" s="4" t="s">
        <v>24</v>
      </c>
    </row>
    <row r="22" spans="1:11" ht="24" thickBot="1" x14ac:dyDescent="0.4">
      <c r="A22" s="54">
        <f>ROUND(C17,3)</f>
        <v>0.64800000000000002</v>
      </c>
      <c r="B22" s="53" t="s">
        <v>57</v>
      </c>
      <c r="C22" s="1"/>
      <c r="D22" s="1"/>
      <c r="F22" s="19">
        <f>H22^2/C17</f>
        <v>21.130838075933497</v>
      </c>
      <c r="G22" t="s">
        <v>22</v>
      </c>
      <c r="H22" s="14">
        <v>3.7</v>
      </c>
      <c r="I22" s="70" t="s">
        <v>41</v>
      </c>
      <c r="J22" s="71"/>
    </row>
    <row r="23" spans="1:11" x14ac:dyDescent="0.25">
      <c r="C23" s="1"/>
      <c r="D23" s="1"/>
      <c r="H23" s="16">
        <f>F22/H22</f>
        <v>5.7110373178198639</v>
      </c>
      <c r="I23" s="4" t="s">
        <v>17</v>
      </c>
      <c r="J23" s="17">
        <f>($J$19/(H23*1000))/24</f>
        <v>1.6050791049927786E-2</v>
      </c>
      <c r="K23" s="4" t="s">
        <v>24</v>
      </c>
    </row>
    <row r="24" spans="1:11" x14ac:dyDescent="0.25">
      <c r="C24" s="1"/>
      <c r="D24" s="1"/>
      <c r="H24" s="26"/>
      <c r="I24" s="27"/>
      <c r="J24" s="28"/>
    </row>
    <row r="25" spans="1:11" x14ac:dyDescent="0.25">
      <c r="A25" s="8"/>
      <c r="B25" s="8"/>
      <c r="C25" s="39" t="s">
        <v>10</v>
      </c>
      <c r="D25" s="76" t="s">
        <v>8</v>
      </c>
      <c r="E25" s="77"/>
      <c r="F25" s="76" t="s">
        <v>9</v>
      </c>
      <c r="G25" s="77"/>
      <c r="H25" s="83" t="s">
        <v>34</v>
      </c>
      <c r="I25" s="84"/>
    </row>
    <row r="26" spans="1:11" ht="15.75" thickBot="1" x14ac:dyDescent="0.3">
      <c r="A26" s="8"/>
      <c r="B26" s="8"/>
      <c r="C26" s="40"/>
      <c r="D26" s="41" t="s">
        <v>2</v>
      </c>
      <c r="E26" s="42" t="s">
        <v>0</v>
      </c>
      <c r="F26" s="41" t="s">
        <v>2</v>
      </c>
      <c r="G26" s="42" t="s">
        <v>0</v>
      </c>
      <c r="H26" s="31" t="s">
        <v>35</v>
      </c>
      <c r="I26" s="21" t="s">
        <v>27</v>
      </c>
    </row>
    <row r="27" spans="1:11" x14ac:dyDescent="0.25">
      <c r="A27" s="8"/>
      <c r="B27" s="8"/>
      <c r="C27" s="43">
        <v>10</v>
      </c>
      <c r="D27" s="44">
        <v>0.13400000000000001</v>
      </c>
      <c r="E27" s="45">
        <f>D27*25.4</f>
        <v>3.4036</v>
      </c>
      <c r="F27" s="44">
        <v>0.1019</v>
      </c>
      <c r="G27" s="45">
        <f>F27*25.4</f>
        <v>2.58826</v>
      </c>
      <c r="H27" s="32" t="s">
        <v>28</v>
      </c>
      <c r="I27" s="29">
        <f>25.4/16</f>
        <v>1.5874999999999999</v>
      </c>
    </row>
    <row r="28" spans="1:11" x14ac:dyDescent="0.25">
      <c r="A28" s="8"/>
      <c r="B28" s="8"/>
      <c r="C28" s="39">
        <v>11</v>
      </c>
      <c r="D28" s="46">
        <v>0.12</v>
      </c>
      <c r="E28" s="47">
        <f t="shared" ref="E28:E38" si="0">D28*25.4</f>
        <v>3.0479999999999996</v>
      </c>
      <c r="F28" s="46">
        <v>7.0699999999999999E-2</v>
      </c>
      <c r="G28" s="47">
        <f t="shared" ref="G28:G38" si="1">F28*25.4</f>
        <v>1.7957799999999999</v>
      </c>
      <c r="H28" s="33" t="s">
        <v>29</v>
      </c>
      <c r="I28" s="30">
        <f>5*25.4/64</f>
        <v>1.984375</v>
      </c>
    </row>
    <row r="29" spans="1:11" x14ac:dyDescent="0.25">
      <c r="A29" s="8"/>
      <c r="B29" s="8"/>
      <c r="C29" s="39">
        <v>12</v>
      </c>
      <c r="D29" s="46">
        <v>0.109</v>
      </c>
      <c r="E29" s="47">
        <f t="shared" si="0"/>
        <v>2.7685999999999997</v>
      </c>
      <c r="F29" s="46">
        <v>8.0799999999999997E-2</v>
      </c>
      <c r="G29" s="47">
        <f t="shared" si="1"/>
        <v>2.0523199999999999</v>
      </c>
      <c r="H29" s="33" t="s">
        <v>30</v>
      </c>
      <c r="I29" s="30">
        <f>3*25.4/32</f>
        <v>2.3812499999999996</v>
      </c>
    </row>
    <row r="30" spans="1:11" x14ac:dyDescent="0.25">
      <c r="A30" s="8"/>
      <c r="B30" s="8"/>
      <c r="C30" s="39">
        <v>13</v>
      </c>
      <c r="D30" s="46">
        <v>9.5000000000000001E-2</v>
      </c>
      <c r="E30" s="47">
        <f t="shared" si="0"/>
        <v>2.4129999999999998</v>
      </c>
      <c r="F30" s="46">
        <v>7.1999999999999995E-2</v>
      </c>
      <c r="G30" s="47">
        <f t="shared" si="1"/>
        <v>1.8287999999999998</v>
      </c>
      <c r="H30" s="33" t="s">
        <v>31</v>
      </c>
      <c r="I30" s="30">
        <f>7*25.4/64</f>
        <v>2.7781249999999997</v>
      </c>
    </row>
    <row r="31" spans="1:11" x14ac:dyDescent="0.25">
      <c r="A31" s="8"/>
      <c r="B31" s="8"/>
      <c r="C31" s="39">
        <v>14</v>
      </c>
      <c r="D31" s="46">
        <v>8.3000000000000004E-2</v>
      </c>
      <c r="E31" s="47">
        <f t="shared" si="0"/>
        <v>2.1082000000000001</v>
      </c>
      <c r="F31" s="46">
        <v>6.4100000000000004E-2</v>
      </c>
      <c r="G31" s="47">
        <f t="shared" si="1"/>
        <v>1.6281399999999999</v>
      </c>
      <c r="H31" s="33" t="s">
        <v>32</v>
      </c>
      <c r="I31" s="30">
        <f>0.125*25.4</f>
        <v>3.1749999999999998</v>
      </c>
    </row>
    <row r="32" spans="1:11" x14ac:dyDescent="0.25">
      <c r="A32" s="8"/>
      <c r="B32" s="8"/>
      <c r="C32" s="39">
        <v>15</v>
      </c>
      <c r="D32" s="46">
        <v>7.1999999999999995E-2</v>
      </c>
      <c r="E32" s="47">
        <f t="shared" si="0"/>
        <v>1.8287999999999998</v>
      </c>
      <c r="F32" s="46">
        <v>5.7099999999999998E-2</v>
      </c>
      <c r="G32" s="47">
        <f t="shared" si="1"/>
        <v>1.45034</v>
      </c>
      <c r="H32" s="38"/>
      <c r="I32" s="38"/>
    </row>
    <row r="33" spans="1:13" x14ac:dyDescent="0.25">
      <c r="A33" s="8"/>
      <c r="B33" s="8"/>
      <c r="C33" s="39">
        <v>16</v>
      </c>
      <c r="D33" s="46">
        <v>6.5000000000000002E-2</v>
      </c>
      <c r="E33" s="47">
        <f t="shared" si="0"/>
        <v>1.651</v>
      </c>
      <c r="F33" s="46">
        <v>5.0799999999999998E-2</v>
      </c>
      <c r="G33" s="47">
        <f t="shared" si="1"/>
        <v>1.2903199999999999</v>
      </c>
      <c r="H33" s="38"/>
      <c r="I33" s="38"/>
    </row>
    <row r="34" spans="1:13" x14ac:dyDescent="0.25">
      <c r="A34" s="8"/>
      <c r="B34" s="8"/>
      <c r="C34" s="39">
        <v>17</v>
      </c>
      <c r="D34" s="46">
        <v>5.8000000000000003E-2</v>
      </c>
      <c r="E34" s="47">
        <f t="shared" si="0"/>
        <v>1.4732000000000001</v>
      </c>
      <c r="F34" s="46">
        <v>4.53E-2</v>
      </c>
      <c r="G34" s="47">
        <f t="shared" si="1"/>
        <v>1.15062</v>
      </c>
      <c r="H34" s="38"/>
      <c r="I34" s="38"/>
      <c r="M34" s="50"/>
    </row>
    <row r="35" spans="1:13" x14ac:dyDescent="0.25">
      <c r="A35" s="8"/>
      <c r="B35" s="8"/>
      <c r="C35" s="39">
        <v>18</v>
      </c>
      <c r="D35" s="46">
        <v>0.05</v>
      </c>
      <c r="E35" s="47">
        <f t="shared" si="0"/>
        <v>1.27</v>
      </c>
      <c r="F35" s="46">
        <v>4.0300000000000002E-2</v>
      </c>
      <c r="G35" s="47">
        <f t="shared" si="1"/>
        <v>1.02362</v>
      </c>
      <c r="H35" s="38"/>
      <c r="I35" s="38"/>
    </row>
    <row r="36" spans="1:13" x14ac:dyDescent="0.25">
      <c r="A36" s="8"/>
      <c r="B36" s="8"/>
      <c r="C36" s="39">
        <v>19</v>
      </c>
      <c r="D36" s="46">
        <v>4.2000000000000003E-2</v>
      </c>
      <c r="E36" s="47">
        <f t="shared" si="0"/>
        <v>1.0668</v>
      </c>
      <c r="F36" s="46">
        <v>3.5900000000000001E-2</v>
      </c>
      <c r="G36" s="47">
        <f t="shared" si="1"/>
        <v>0.91186</v>
      </c>
      <c r="H36" s="38"/>
      <c r="I36" s="38"/>
    </row>
    <row r="37" spans="1:13" x14ac:dyDescent="0.25">
      <c r="A37" s="8"/>
      <c r="B37" s="8"/>
      <c r="C37" s="39">
        <v>20</v>
      </c>
      <c r="D37" s="46">
        <v>3.5749999999999997E-2</v>
      </c>
      <c r="E37" s="47">
        <f t="shared" si="0"/>
        <v>0.90804999999999991</v>
      </c>
      <c r="F37" s="46">
        <v>3.2000000000000001E-2</v>
      </c>
      <c r="G37" s="47">
        <f t="shared" si="1"/>
        <v>0.81279999999999997</v>
      </c>
      <c r="H37" s="38"/>
      <c r="I37" s="38"/>
    </row>
    <row r="38" spans="1:13" x14ac:dyDescent="0.25">
      <c r="A38" s="8"/>
      <c r="B38" s="8"/>
      <c r="C38" s="39">
        <v>21</v>
      </c>
      <c r="D38" s="46">
        <v>3.2250000000000001E-2</v>
      </c>
      <c r="E38" s="47">
        <f t="shared" si="0"/>
        <v>0.81914999999999993</v>
      </c>
      <c r="F38" s="46">
        <v>2.8500000000000001E-2</v>
      </c>
      <c r="G38" s="47">
        <f t="shared" si="1"/>
        <v>0.72389999999999999</v>
      </c>
      <c r="H38" s="38"/>
      <c r="I38" s="38"/>
    </row>
    <row r="39" spans="1:13" x14ac:dyDescent="0.25">
      <c r="G39" s="1"/>
      <c r="H39" s="1"/>
      <c r="I39" s="1"/>
      <c r="J39" s="1"/>
    </row>
    <row r="40" spans="1:13" x14ac:dyDescent="0.25">
      <c r="A40" s="22" t="s">
        <v>33</v>
      </c>
      <c r="B40" s="22"/>
      <c r="C40" s="35"/>
      <c r="D40" s="36"/>
      <c r="E40" s="36"/>
      <c r="F40" s="36"/>
      <c r="G40" s="36"/>
      <c r="H40" s="36"/>
      <c r="I40" s="36"/>
      <c r="J40" s="1"/>
      <c r="K40" s="1"/>
      <c r="L40" s="1"/>
    </row>
    <row r="41" spans="1:13" x14ac:dyDescent="0.25">
      <c r="A41" s="23"/>
      <c r="B41" s="75"/>
      <c r="C41" s="78"/>
      <c r="D41" s="79"/>
      <c r="E41" s="79"/>
      <c r="F41" s="79"/>
      <c r="G41" s="79"/>
      <c r="H41" s="79"/>
      <c r="I41" s="80"/>
    </row>
    <row r="42" spans="1:13" ht="15" customHeight="1" x14ac:dyDescent="0.25">
      <c r="A42" s="23"/>
      <c r="B42" s="75"/>
      <c r="C42" s="78"/>
      <c r="D42" s="79"/>
      <c r="E42" s="79"/>
      <c r="F42" s="79"/>
      <c r="G42" s="79"/>
      <c r="H42" s="79"/>
      <c r="I42" s="80"/>
    </row>
    <row r="43" spans="1:13" x14ac:dyDescent="0.25">
      <c r="A43" s="23"/>
      <c r="B43" s="75"/>
      <c r="C43" s="78"/>
      <c r="D43" s="79"/>
      <c r="E43" s="79"/>
      <c r="F43" s="79"/>
      <c r="G43" s="79"/>
      <c r="H43" s="79"/>
      <c r="I43" s="80"/>
    </row>
    <row r="44" spans="1:13" x14ac:dyDescent="0.25">
      <c r="A44" s="23"/>
      <c r="B44" s="75"/>
      <c r="C44" s="78"/>
      <c r="D44" s="79"/>
      <c r="E44" s="79"/>
      <c r="F44" s="79"/>
      <c r="G44" s="79"/>
      <c r="H44" s="79"/>
      <c r="I44" s="80"/>
    </row>
    <row r="45" spans="1:13" x14ac:dyDescent="0.25">
      <c r="A45" s="23"/>
      <c r="B45" s="75"/>
      <c r="C45" s="78"/>
      <c r="D45" s="79"/>
      <c r="E45" s="79"/>
      <c r="F45" s="79"/>
      <c r="G45" s="79"/>
      <c r="H45" s="79"/>
      <c r="I45" s="80"/>
    </row>
    <row r="46" spans="1:13" x14ac:dyDescent="0.25">
      <c r="A46" s="23"/>
      <c r="B46" s="75"/>
      <c r="C46" s="78"/>
      <c r="D46" s="79"/>
      <c r="E46" s="79"/>
      <c r="F46" s="79"/>
      <c r="G46" s="79"/>
      <c r="H46" s="79"/>
      <c r="I46" s="80"/>
    </row>
    <row r="47" spans="1:13" x14ac:dyDescent="0.25">
      <c r="A47" s="23"/>
      <c r="B47" s="75"/>
      <c r="C47" s="78"/>
      <c r="D47" s="79"/>
      <c r="E47" s="79"/>
      <c r="F47" s="79"/>
      <c r="G47" s="79"/>
      <c r="H47" s="79"/>
      <c r="I47" s="80"/>
    </row>
    <row r="48" spans="1:13" x14ac:dyDescent="0.25">
      <c r="A48" s="23"/>
      <c r="B48" s="75"/>
      <c r="C48" s="78"/>
      <c r="D48" s="79"/>
      <c r="E48" s="79"/>
      <c r="F48" s="79"/>
      <c r="G48" s="79"/>
      <c r="H48" s="79"/>
      <c r="I48" s="80"/>
    </row>
    <row r="49" spans="1:9" x14ac:dyDescent="0.25">
      <c r="A49" s="23"/>
      <c r="B49" s="75"/>
      <c r="C49" s="78"/>
      <c r="D49" s="79"/>
      <c r="E49" s="79"/>
      <c r="F49" s="79"/>
      <c r="G49" s="79"/>
      <c r="H49" s="79"/>
      <c r="I49" s="80"/>
    </row>
    <row r="50" spans="1:9" x14ac:dyDescent="0.25">
      <c r="A50" s="23"/>
      <c r="B50" s="75"/>
      <c r="C50" s="78"/>
      <c r="D50" s="79"/>
      <c r="E50" s="79"/>
      <c r="F50" s="79"/>
      <c r="G50" s="79"/>
      <c r="H50" s="79"/>
      <c r="I50" s="80"/>
    </row>
    <row r="51" spans="1:9" x14ac:dyDescent="0.25">
      <c r="A51" s="23"/>
      <c r="B51" s="75"/>
      <c r="C51" s="78"/>
      <c r="D51" s="79"/>
      <c r="E51" s="79"/>
      <c r="F51" s="79"/>
      <c r="G51" s="79"/>
      <c r="H51" s="79"/>
      <c r="I51" s="80"/>
    </row>
    <row r="52" spans="1:9" x14ac:dyDescent="0.25">
      <c r="A52" s="23"/>
      <c r="B52" s="75"/>
      <c r="C52" s="78"/>
      <c r="D52" s="79"/>
      <c r="E52" s="79"/>
      <c r="F52" s="79"/>
      <c r="G52" s="79"/>
      <c r="H52" s="79"/>
      <c r="I52" s="80"/>
    </row>
    <row r="53" spans="1:9" x14ac:dyDescent="0.25">
      <c r="A53" s="25"/>
      <c r="B53" s="24"/>
      <c r="C53" s="78"/>
      <c r="D53" s="79"/>
      <c r="E53" s="79"/>
      <c r="F53" s="79"/>
      <c r="G53" s="79"/>
      <c r="H53" s="79"/>
      <c r="I53" s="80"/>
    </row>
    <row r="54" spans="1:9" x14ac:dyDescent="0.25">
      <c r="A54" s="25"/>
      <c r="B54" s="24"/>
      <c r="C54" s="78"/>
      <c r="D54" s="79"/>
      <c r="E54" s="79"/>
      <c r="F54" s="79"/>
      <c r="G54" s="79"/>
      <c r="H54" s="79"/>
      <c r="I54" s="80"/>
    </row>
    <row r="55" spans="1:9" x14ac:dyDescent="0.25">
      <c r="A55" s="25"/>
      <c r="B55" s="24"/>
      <c r="C55" s="78"/>
      <c r="D55" s="79"/>
      <c r="E55" s="79"/>
      <c r="F55" s="79"/>
      <c r="G55" s="79"/>
      <c r="H55" s="79"/>
      <c r="I55" s="80"/>
    </row>
    <row r="56" spans="1:9" x14ac:dyDescent="0.25">
      <c r="A56" s="25"/>
      <c r="B56" s="24"/>
      <c r="C56" s="78"/>
      <c r="D56" s="79"/>
      <c r="E56" s="79"/>
      <c r="F56" s="79"/>
      <c r="G56" s="79"/>
      <c r="H56" s="79"/>
      <c r="I56" s="80"/>
    </row>
    <row r="57" spans="1:9" x14ac:dyDescent="0.25">
      <c r="A57" s="25"/>
      <c r="B57" s="24"/>
      <c r="C57" s="78"/>
      <c r="D57" s="79"/>
      <c r="E57" s="79"/>
      <c r="F57" s="79"/>
      <c r="G57" s="79"/>
      <c r="H57" s="79"/>
      <c r="I57" s="80"/>
    </row>
    <row r="58" spans="1:9" x14ac:dyDescent="0.25">
      <c r="A58" s="25"/>
      <c r="B58" s="24"/>
      <c r="C58" s="78"/>
      <c r="D58" s="79"/>
      <c r="E58" s="79"/>
      <c r="F58" s="79"/>
      <c r="G58" s="79"/>
      <c r="H58" s="79"/>
      <c r="I58" s="80"/>
    </row>
    <row r="59" spans="1:9" x14ac:dyDescent="0.25">
      <c r="A59" s="25"/>
      <c r="B59" s="24"/>
      <c r="C59" s="78"/>
      <c r="D59" s="79"/>
      <c r="E59" s="79"/>
      <c r="F59" s="79"/>
      <c r="G59" s="79"/>
      <c r="H59" s="79"/>
      <c r="I59" s="80"/>
    </row>
    <row r="60" spans="1:9" x14ac:dyDescent="0.25">
      <c r="A60" s="25"/>
      <c r="B60" s="24"/>
      <c r="C60" s="78"/>
      <c r="D60" s="79"/>
      <c r="E60" s="79"/>
      <c r="F60" s="79"/>
      <c r="G60" s="79"/>
      <c r="H60" s="79"/>
      <c r="I60" s="80"/>
    </row>
    <row r="61" spans="1:9" x14ac:dyDescent="0.25">
      <c r="A61" s="25"/>
      <c r="B61" s="24"/>
      <c r="C61" s="78"/>
      <c r="D61" s="79"/>
      <c r="E61" s="79"/>
      <c r="F61" s="79"/>
      <c r="G61" s="79"/>
      <c r="H61" s="79"/>
      <c r="I61" s="80"/>
    </row>
    <row r="62" spans="1:9" x14ac:dyDescent="0.25">
      <c r="A62" s="25"/>
      <c r="B62" s="24"/>
      <c r="C62" s="78"/>
      <c r="D62" s="79"/>
      <c r="E62" s="79"/>
      <c r="F62" s="79"/>
      <c r="G62" s="79"/>
      <c r="H62" s="79"/>
      <c r="I62" s="80"/>
    </row>
    <row r="63" spans="1:9" x14ac:dyDescent="0.25">
      <c r="A63" s="25"/>
      <c r="B63" s="24"/>
      <c r="C63" s="78"/>
      <c r="D63" s="79"/>
      <c r="E63" s="79"/>
      <c r="F63" s="79"/>
      <c r="G63" s="79"/>
      <c r="H63" s="79"/>
      <c r="I63" s="80"/>
    </row>
    <row r="64" spans="1:9" x14ac:dyDescent="0.25">
      <c r="A64" s="25"/>
      <c r="B64" s="24"/>
      <c r="C64" s="78"/>
      <c r="D64" s="79"/>
      <c r="E64" s="79"/>
      <c r="F64" s="79"/>
      <c r="G64" s="79"/>
      <c r="H64" s="79"/>
      <c r="I64" s="80"/>
    </row>
    <row r="65" spans="1:9" x14ac:dyDescent="0.25">
      <c r="A65" s="25"/>
      <c r="B65" s="24"/>
      <c r="C65" s="78"/>
      <c r="D65" s="79"/>
      <c r="E65" s="79"/>
      <c r="F65" s="79"/>
      <c r="G65" s="79"/>
      <c r="H65" s="79"/>
      <c r="I65" s="80"/>
    </row>
    <row r="66" spans="1:9" x14ac:dyDescent="0.25">
      <c r="A66" s="25"/>
      <c r="B66" s="24"/>
      <c r="C66" s="78"/>
      <c r="D66" s="79"/>
      <c r="E66" s="79"/>
      <c r="F66" s="79"/>
      <c r="G66" s="79"/>
      <c r="H66" s="79"/>
      <c r="I66" s="80"/>
    </row>
    <row r="67" spans="1:9" x14ac:dyDescent="0.25">
      <c r="A67" s="25"/>
      <c r="B67" s="24"/>
      <c r="C67" s="78"/>
      <c r="D67" s="79"/>
      <c r="E67" s="79"/>
      <c r="F67" s="79"/>
      <c r="G67" s="79"/>
      <c r="H67" s="79"/>
      <c r="I67" s="80"/>
    </row>
    <row r="68" spans="1:9" x14ac:dyDescent="0.25">
      <c r="A68" s="25"/>
      <c r="B68" s="24"/>
      <c r="C68" s="78"/>
      <c r="D68" s="79"/>
      <c r="E68" s="79"/>
      <c r="F68" s="79"/>
      <c r="G68" s="79"/>
      <c r="H68" s="79"/>
      <c r="I68" s="80"/>
    </row>
    <row r="69" spans="1:9" x14ac:dyDescent="0.25">
      <c r="A69" s="25"/>
      <c r="B69" s="24"/>
      <c r="C69" s="78"/>
      <c r="D69" s="79"/>
      <c r="E69" s="79"/>
      <c r="F69" s="79"/>
      <c r="G69" s="79"/>
      <c r="H69" s="79"/>
      <c r="I69" s="80"/>
    </row>
    <row r="70" spans="1:9" x14ac:dyDescent="0.25">
      <c r="A70" s="25"/>
      <c r="B70" s="24"/>
      <c r="C70" s="78"/>
      <c r="D70" s="79"/>
      <c r="E70" s="79"/>
      <c r="F70" s="79"/>
      <c r="G70" s="79"/>
      <c r="H70" s="79"/>
      <c r="I70" s="80"/>
    </row>
    <row r="71" spans="1:9" x14ac:dyDescent="0.25">
      <c r="A71" s="25"/>
      <c r="B71" s="24"/>
      <c r="C71" s="78"/>
      <c r="D71" s="79"/>
      <c r="E71" s="79"/>
      <c r="F71" s="79"/>
      <c r="G71" s="79"/>
      <c r="H71" s="79"/>
      <c r="I71" s="80"/>
    </row>
    <row r="72" spans="1:9" x14ac:dyDescent="0.25">
      <c r="A72" s="25"/>
      <c r="B72" s="24"/>
      <c r="C72" s="78"/>
      <c r="D72" s="79"/>
      <c r="E72" s="79"/>
      <c r="F72" s="79"/>
      <c r="G72" s="79"/>
      <c r="H72" s="79"/>
      <c r="I72" s="80"/>
    </row>
    <row r="73" spans="1:9" x14ac:dyDescent="0.25">
      <c r="A73" s="25"/>
      <c r="B73" s="24"/>
      <c r="C73" s="78"/>
      <c r="D73" s="79"/>
      <c r="E73" s="79"/>
      <c r="F73" s="79"/>
      <c r="G73" s="79"/>
      <c r="H73" s="79"/>
      <c r="I73" s="80"/>
    </row>
    <row r="74" spans="1:9" x14ac:dyDescent="0.25">
      <c r="A74" s="25"/>
      <c r="B74" s="24"/>
      <c r="C74" s="78"/>
      <c r="D74" s="79"/>
      <c r="E74" s="79"/>
      <c r="F74" s="79"/>
      <c r="G74" s="79"/>
      <c r="H74" s="79"/>
      <c r="I74" s="80"/>
    </row>
  </sheetData>
  <sheetProtection sheet="1" selectLockedCells="1"/>
  <mergeCells count="38">
    <mergeCell ref="C73:I73"/>
    <mergeCell ref="C74:I74"/>
    <mergeCell ref="C67:I67"/>
    <mergeCell ref="C68:I68"/>
    <mergeCell ref="C69:I69"/>
    <mergeCell ref="C70:I70"/>
    <mergeCell ref="C71:I71"/>
    <mergeCell ref="C72:I72"/>
    <mergeCell ref="C61:I61"/>
    <mergeCell ref="C62:I62"/>
    <mergeCell ref="C63:I63"/>
    <mergeCell ref="C64:I64"/>
    <mergeCell ref="C65:I65"/>
    <mergeCell ref="C66:I66"/>
    <mergeCell ref="C55:I55"/>
    <mergeCell ref="C56:I56"/>
    <mergeCell ref="C57:I57"/>
    <mergeCell ref="C58:I58"/>
    <mergeCell ref="C59:I59"/>
    <mergeCell ref="C60:I60"/>
    <mergeCell ref="C49:I49"/>
    <mergeCell ref="C50:I50"/>
    <mergeCell ref="C51:I51"/>
    <mergeCell ref="C52:I52"/>
    <mergeCell ref="C53:I53"/>
    <mergeCell ref="C54:I54"/>
    <mergeCell ref="C47:I47"/>
    <mergeCell ref="C44:I44"/>
    <mergeCell ref="C45:I45"/>
    <mergeCell ref="H25:I25"/>
    <mergeCell ref="D25:E25"/>
    <mergeCell ref="C48:I48"/>
    <mergeCell ref="F25:G25"/>
    <mergeCell ref="C41:I41"/>
    <mergeCell ref="C42:I42"/>
    <mergeCell ref="C43:I43"/>
    <mergeCell ref="E13:F13"/>
    <mergeCell ref="C46:I46"/>
  </mergeCells>
  <conditionalFormatting sqref="A22">
    <cfRule type="cellIs" dxfId="0" priority="6" stopIfTrue="1" operator="lessThan">
      <formula>$B$16</formula>
    </cfRule>
  </conditionalFormatting>
  <dataValidations disablePrompts="1" count="1">
    <dataValidation type="list" allowBlank="1" showInputMessage="1" showErrorMessage="1" promptTitle="Ohms/mm2" prompt="Lookup wire type in green wire table at right." sqref="M34">
      <formula1>$H$4:$H$10</formula1>
    </dataValidation>
  </dataValidations>
  <pageMargins left="0.7" right="0.7" top="0.75" bottom="0.75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8" r:id="rId4" name="Drop Down 44">
              <controlPr defaultSize="0" autoLine="0" autoPict="0">
                <anchor moveWithCells="1">
                  <from>
                    <xdr:col>1</xdr:col>
                    <xdr:colOff>0</xdr:colOff>
                    <xdr:row>0</xdr:row>
                    <xdr:rowOff>161925</xdr:rowOff>
                  </from>
                  <to>
                    <xdr:col>1</xdr:col>
                    <xdr:colOff>1114425</xdr:colOff>
                    <xdr:row>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5" name="Spinner 46">
              <controlPr defaultSize="0" autoPict="0">
                <anchor moveWithCells="1" sizeWithCells="1">
                  <from>
                    <xdr:col>2</xdr:col>
                    <xdr:colOff>38100</xdr:colOff>
                    <xdr:row>1</xdr:row>
                    <xdr:rowOff>200025</xdr:rowOff>
                  </from>
                  <to>
                    <xdr:col>2</xdr:col>
                    <xdr:colOff>219075</xdr:colOff>
                    <xdr:row>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Markert</dc:creator>
  <cp:lastModifiedBy>Phil</cp:lastModifiedBy>
  <dcterms:created xsi:type="dcterms:W3CDTF">2013-12-03T18:23:08Z</dcterms:created>
  <dcterms:modified xsi:type="dcterms:W3CDTF">2014-03-02T05:08:40Z</dcterms:modified>
</cp:coreProperties>
</file>